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95" windowHeight="10740" activeTab="2"/>
  </bookViews>
  <sheets>
    <sheet name="frais fixes des mairies" sheetId="1" r:id="rId1"/>
    <sheet name="dépenses et recettes comtales" sheetId="2" r:id="rId2"/>
    <sheet name="calcul de l'impot par village" sheetId="3" r:id="rId3"/>
  </sheets>
  <definedNames>
    <definedName name="impot">'calcul de l''impot par village'!$D$16</definedName>
  </definedNames>
  <calcPr fullCalcOnLoad="1"/>
</workbook>
</file>

<file path=xl/sharedStrings.xml><?xml version="1.0" encoding="utf-8"?>
<sst xmlns="http://schemas.openxmlformats.org/spreadsheetml/2006/main" count="144" uniqueCount="92">
  <si>
    <t>Milice municipale</t>
  </si>
  <si>
    <t>Poles de dépense</t>
  </si>
  <si>
    <t>Qté</t>
  </si>
  <si>
    <t>PU</t>
  </si>
  <si>
    <t>Montant</t>
  </si>
  <si>
    <t>Ville</t>
  </si>
  <si>
    <t>La Rochelle</t>
  </si>
  <si>
    <t>La Trémouille</t>
  </si>
  <si>
    <t>Niort</t>
  </si>
  <si>
    <t>Poitiers</t>
  </si>
  <si>
    <t>Saintes</t>
  </si>
  <si>
    <t>Thouars</t>
  </si>
  <si>
    <t>Salaire commandant</t>
  </si>
  <si>
    <t>Dépenses fixes des mairies</t>
  </si>
  <si>
    <t>Corruption</t>
  </si>
  <si>
    <t>Total des frais fixes des mairies pour 14 jours :</t>
  </si>
  <si>
    <t>Calcul des impots bimensuel</t>
  </si>
  <si>
    <t>Pôles de dépense</t>
  </si>
  <si>
    <t>Soldes de la prévoté</t>
  </si>
  <si>
    <t>Mois</t>
  </si>
  <si>
    <t xml:space="preserve">Budget Dépenses du comté </t>
  </si>
  <si>
    <t>Réajustement soldes Ost / prévisionnel précédent</t>
  </si>
  <si>
    <t>Réajustement soldes prévoté / prévisionnel précédent</t>
  </si>
  <si>
    <t>Salaire des chefs maréchaux</t>
  </si>
  <si>
    <t>Réajustement salaires maréchaux / prévisionnel précédent</t>
  </si>
  <si>
    <t>qté</t>
  </si>
  <si>
    <t>Frais de bouche</t>
  </si>
  <si>
    <t>Période</t>
  </si>
  <si>
    <t>Dépenses réelle de Prestige (deux dernières semaines)</t>
  </si>
  <si>
    <t>Calcul des impots / période de 14 jours</t>
  </si>
  <si>
    <t>Dépenses maïs pour les naissances</t>
  </si>
  <si>
    <t>Dépenses blé pour les naissances</t>
  </si>
  <si>
    <t>Recettes listes élections</t>
  </si>
  <si>
    <t>(nb de liste présentes aux dernières élections)</t>
  </si>
  <si>
    <t>(nb de fonctionnaires embauchés les 14 derniers jours)</t>
  </si>
  <si>
    <t>(nb de sacs de blé dépensés les 14 derniers jours)</t>
  </si>
  <si>
    <t>(nb de sacs de maïs dépensés les 14 derniers jours)</t>
  </si>
  <si>
    <t>(Bilan net de la production des mines des 14 derniers jours)</t>
  </si>
  <si>
    <t>Recettes vente animaux - Chèvres</t>
  </si>
  <si>
    <t>Recettes vente animaux - Cochons</t>
  </si>
  <si>
    <t>Recettes vente animaux - Moutons</t>
  </si>
  <si>
    <t>Recettes vente animaux - Vaches</t>
  </si>
  <si>
    <t>Bilan</t>
  </si>
  <si>
    <t>Dépenses exceptionnelles</t>
  </si>
  <si>
    <t>Recettes exceptionnelles</t>
  </si>
  <si>
    <t>(chasse au brigands par exemple)</t>
  </si>
  <si>
    <t>(cadeau au comte par exemple)</t>
  </si>
  <si>
    <t xml:space="preserve">Achats armements </t>
  </si>
  <si>
    <t>Soldes de l'Ost LR</t>
  </si>
  <si>
    <t>Soldes de l'Ost LT</t>
  </si>
  <si>
    <t>Soldes de l'Ost Niort</t>
  </si>
  <si>
    <t>Soldes de l'Ost Poitiers</t>
  </si>
  <si>
    <t>Soldes de l'Ost Saintes</t>
  </si>
  <si>
    <t>Soldes de l'Ost Thouars</t>
  </si>
  <si>
    <t>Statistiques population</t>
  </si>
  <si>
    <t>NB échoppes</t>
  </si>
  <si>
    <t>NB retraités</t>
  </si>
  <si>
    <t>NB Morts</t>
  </si>
  <si>
    <t>Champs voyageurs</t>
  </si>
  <si>
    <t>Echoppes voyageurs</t>
  </si>
  <si>
    <t>Villageois &gt;N1</t>
  </si>
  <si>
    <t>Besoin de financement Théorique :</t>
  </si>
  <si>
    <t>Besoin de financement retenu :</t>
  </si>
  <si>
    <t>impot dû</t>
  </si>
  <si>
    <t>Bilan minier quinzaine</t>
  </si>
  <si>
    <t>Embauches de fonctionnaires quinzaine</t>
  </si>
  <si>
    <t>Net après frais fixes</t>
  </si>
  <si>
    <t>Total par ville</t>
  </si>
  <si>
    <t>Tx champ</t>
  </si>
  <si>
    <t>Tx échoppe</t>
  </si>
  <si>
    <t>Total impot</t>
  </si>
  <si>
    <t>Benf mairie</t>
  </si>
  <si>
    <t>ancien impot</t>
  </si>
  <si>
    <t>Construction du port</t>
  </si>
  <si>
    <t>embauches journalières pour la construction du port</t>
  </si>
  <si>
    <t>Champs retraités</t>
  </si>
  <si>
    <t>Echoppes retraités</t>
  </si>
  <si>
    <t>Champs</t>
  </si>
  <si>
    <t>Indice de production</t>
  </si>
  <si>
    <t>Suggestion d'imposition minimum par ville pour arriver à l'équilibre du besoin du comté.</t>
  </si>
  <si>
    <t>Les maires peuvent jouer sur ces taux pour financer en partie leurs frais fixes.</t>
  </si>
  <si>
    <t>Echoppes</t>
  </si>
  <si>
    <t>Impot comtal</t>
  </si>
  <si>
    <t>Montant frais fixes</t>
  </si>
  <si>
    <t>Tx echoppes</t>
  </si>
  <si>
    <t>Tx champs</t>
  </si>
  <si>
    <t>Montant champs</t>
  </si>
  <si>
    <t>Montant echoppes</t>
  </si>
  <si>
    <t>Calcul taux pour couvrir la part comtale de l'impot</t>
  </si>
  <si>
    <t>Calcul pour couvrir l'impot comtal + les frais fixes de la mairie</t>
  </si>
  <si>
    <t>total dépenses</t>
  </si>
  <si>
    <t>(calcul avec champs de résidents + champs de résidents en voyage + 75% des champs de retraités, idem pour les échoppes)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</si>
</sst>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11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0" fillId="4" borderId="0" xfId="0" applyFill="1" applyBorder="1" applyAlignment="1">
      <alignment/>
    </xf>
    <xf numFmtId="164" fontId="9" fillId="0" borderId="0" xfId="15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4" borderId="0" xfId="0" applyNumberFormat="1" applyFont="1" applyFill="1" applyAlignment="1">
      <alignment/>
    </xf>
    <xf numFmtId="0" fontId="0" fillId="4" borderId="1" xfId="0" applyFill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4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" fontId="9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9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9" sqref="B9"/>
    </sheetView>
  </sheetViews>
  <sheetFormatPr defaultColWidth="11.421875" defaultRowHeight="12.75"/>
  <cols>
    <col min="1" max="1" width="23.28125" style="0" customWidth="1"/>
    <col min="2" max="2" width="8.7109375" style="0" customWidth="1"/>
    <col min="3" max="3" width="10.8515625" style="0" customWidth="1"/>
    <col min="4" max="4" width="16.00390625" style="0" customWidth="1"/>
    <col min="5" max="5" width="23.7109375" style="0" customWidth="1"/>
  </cols>
  <sheetData>
    <row r="1" spans="1:5" ht="18">
      <c r="A1" s="23" t="s">
        <v>16</v>
      </c>
      <c r="B1" s="23"/>
      <c r="C1" s="23"/>
      <c r="D1" s="23"/>
      <c r="E1" s="23"/>
    </row>
    <row r="3" spans="1:5" ht="12.75">
      <c r="A3" s="24" t="s">
        <v>13</v>
      </c>
      <c r="B3" s="24"/>
      <c r="C3" s="24"/>
      <c r="D3" s="24"/>
      <c r="E3" s="24"/>
    </row>
    <row r="4" ht="13.5" thickBot="1"/>
    <row r="5" spans="1:5" ht="15">
      <c r="A5" s="5" t="s">
        <v>1</v>
      </c>
      <c r="B5" s="9" t="s">
        <v>2</v>
      </c>
      <c r="C5" s="9" t="s">
        <v>3</v>
      </c>
      <c r="D5" s="10" t="s">
        <v>4</v>
      </c>
      <c r="E5" s="10" t="s">
        <v>5</v>
      </c>
    </row>
    <row r="6" spans="1:5" ht="12.75">
      <c r="A6" s="6" t="s">
        <v>0</v>
      </c>
      <c r="B6" s="12">
        <v>3</v>
      </c>
      <c r="C6" s="3">
        <v>15</v>
      </c>
      <c r="D6" s="3">
        <f>C6*B6</f>
        <v>45</v>
      </c>
      <c r="E6" s="3" t="s">
        <v>6</v>
      </c>
    </row>
    <row r="7" spans="1:5" ht="12.75">
      <c r="A7" s="6" t="s">
        <v>0</v>
      </c>
      <c r="B7" s="12">
        <v>3</v>
      </c>
      <c r="C7" s="3">
        <v>15</v>
      </c>
      <c r="D7" s="3">
        <f aca="true" t="shared" si="0" ref="D7:D13">C7*B7</f>
        <v>45</v>
      </c>
      <c r="E7" s="3" t="s">
        <v>7</v>
      </c>
    </row>
    <row r="8" spans="1:5" ht="12.75">
      <c r="A8" s="6" t="s">
        <v>0</v>
      </c>
      <c r="B8" s="12">
        <v>4</v>
      </c>
      <c r="C8" s="3">
        <v>15</v>
      </c>
      <c r="D8" s="3">
        <f t="shared" si="0"/>
        <v>60</v>
      </c>
      <c r="E8" s="3" t="s">
        <v>8</v>
      </c>
    </row>
    <row r="9" spans="1:5" ht="12.75">
      <c r="A9" s="6" t="s">
        <v>0</v>
      </c>
      <c r="B9" s="12">
        <v>4</v>
      </c>
      <c r="C9" s="3">
        <v>15</v>
      </c>
      <c r="D9" s="3">
        <f t="shared" si="0"/>
        <v>60</v>
      </c>
      <c r="E9" s="3" t="s">
        <v>9</v>
      </c>
    </row>
    <row r="10" spans="1:5" ht="12.75">
      <c r="A10" s="6" t="s">
        <v>0</v>
      </c>
      <c r="B10" s="12">
        <v>3</v>
      </c>
      <c r="C10" s="3">
        <v>15</v>
      </c>
      <c r="D10" s="3">
        <f t="shared" si="0"/>
        <v>45</v>
      </c>
      <c r="E10" s="3" t="s">
        <v>10</v>
      </c>
    </row>
    <row r="11" spans="1:5" ht="12.75">
      <c r="A11" s="6" t="s">
        <v>0</v>
      </c>
      <c r="B11" s="12">
        <v>3</v>
      </c>
      <c r="C11" s="3">
        <v>15</v>
      </c>
      <c r="D11" s="3">
        <f t="shared" si="0"/>
        <v>45</v>
      </c>
      <c r="E11" s="3" t="s">
        <v>11</v>
      </c>
    </row>
    <row r="12" spans="1:5" ht="12.75">
      <c r="A12" s="7"/>
      <c r="B12" s="3"/>
      <c r="C12" s="3"/>
      <c r="D12" s="3"/>
      <c r="E12" s="3"/>
    </row>
    <row r="13" spans="1:5" ht="12.75">
      <c r="A13" s="6" t="s">
        <v>12</v>
      </c>
      <c r="B13" s="12">
        <v>1</v>
      </c>
      <c r="C13" s="3">
        <v>15</v>
      </c>
      <c r="D13" s="3">
        <f t="shared" si="0"/>
        <v>15</v>
      </c>
      <c r="E13" s="3" t="s">
        <v>6</v>
      </c>
    </row>
    <row r="14" spans="1:5" ht="12.75">
      <c r="A14" s="6" t="s">
        <v>12</v>
      </c>
      <c r="B14" s="12">
        <v>1</v>
      </c>
      <c r="C14" s="3">
        <v>15</v>
      </c>
      <c r="D14" s="3">
        <f aca="true" t="shared" si="1" ref="D14:D20">C14*B14</f>
        <v>15</v>
      </c>
      <c r="E14" s="3" t="s">
        <v>7</v>
      </c>
    </row>
    <row r="15" spans="1:5" ht="12.75">
      <c r="A15" s="6" t="s">
        <v>12</v>
      </c>
      <c r="B15" s="12">
        <v>0</v>
      </c>
      <c r="C15" s="3">
        <v>15</v>
      </c>
      <c r="D15" s="3">
        <f t="shared" si="1"/>
        <v>0</v>
      </c>
      <c r="E15" s="3" t="s">
        <v>8</v>
      </c>
    </row>
    <row r="16" spans="1:5" ht="12.75">
      <c r="A16" s="6" t="s">
        <v>12</v>
      </c>
      <c r="B16" s="12">
        <v>0</v>
      </c>
      <c r="C16" s="3">
        <v>15</v>
      </c>
      <c r="D16" s="3">
        <f t="shared" si="1"/>
        <v>0</v>
      </c>
      <c r="E16" s="3" t="s">
        <v>9</v>
      </c>
    </row>
    <row r="17" spans="1:5" ht="12.75">
      <c r="A17" s="6" t="s">
        <v>12</v>
      </c>
      <c r="B17" s="12">
        <v>1</v>
      </c>
      <c r="C17" s="3">
        <v>15</v>
      </c>
      <c r="D17" s="3">
        <f t="shared" si="1"/>
        <v>15</v>
      </c>
      <c r="E17" s="3" t="s">
        <v>10</v>
      </c>
    </row>
    <row r="18" spans="1:5" ht="12.75">
      <c r="A18" s="6" t="s">
        <v>12</v>
      </c>
      <c r="B18" s="12">
        <v>1</v>
      </c>
      <c r="C18" s="3">
        <v>15</v>
      </c>
      <c r="D18" s="3">
        <f t="shared" si="1"/>
        <v>15</v>
      </c>
      <c r="E18" s="3" t="s">
        <v>11</v>
      </c>
    </row>
    <row r="19" spans="1:5" ht="12.75">
      <c r="A19" s="7"/>
      <c r="B19" s="3"/>
      <c r="C19" s="3"/>
      <c r="D19" s="3"/>
      <c r="E19" s="3"/>
    </row>
    <row r="20" spans="1:5" ht="12.75">
      <c r="A20" s="6" t="s">
        <v>14</v>
      </c>
      <c r="B20" s="12">
        <v>1</v>
      </c>
      <c r="C20" s="3">
        <v>50</v>
      </c>
      <c r="D20" s="3">
        <f t="shared" si="1"/>
        <v>50</v>
      </c>
      <c r="E20" s="3" t="s">
        <v>6</v>
      </c>
    </row>
    <row r="21" spans="1:5" ht="12.75">
      <c r="A21" s="6" t="s">
        <v>14</v>
      </c>
      <c r="B21" s="12">
        <v>1</v>
      </c>
      <c r="C21" s="3">
        <v>50</v>
      </c>
      <c r="D21" s="3">
        <f>C21*B21</f>
        <v>50</v>
      </c>
      <c r="E21" s="3" t="s">
        <v>7</v>
      </c>
    </row>
    <row r="22" spans="1:5" ht="12.75">
      <c r="A22" s="6" t="s">
        <v>14</v>
      </c>
      <c r="B22" s="12">
        <v>1</v>
      </c>
      <c r="C22" s="3">
        <v>50</v>
      </c>
      <c r="D22" s="3">
        <f>C22*B22</f>
        <v>50</v>
      </c>
      <c r="E22" s="3" t="s">
        <v>8</v>
      </c>
    </row>
    <row r="23" spans="1:5" ht="12.75">
      <c r="A23" s="6" t="s">
        <v>14</v>
      </c>
      <c r="B23" s="12">
        <v>1</v>
      </c>
      <c r="C23" s="3">
        <v>50</v>
      </c>
      <c r="D23" s="3">
        <f>C23*B23</f>
        <v>50</v>
      </c>
      <c r="E23" s="3" t="s">
        <v>9</v>
      </c>
    </row>
    <row r="24" spans="1:5" ht="12.75">
      <c r="A24" s="6" t="s">
        <v>14</v>
      </c>
      <c r="B24" s="12">
        <v>1</v>
      </c>
      <c r="C24" s="3">
        <v>50</v>
      </c>
      <c r="D24" s="3">
        <f>C24*B24</f>
        <v>50</v>
      </c>
      <c r="E24" s="3" t="s">
        <v>10</v>
      </c>
    </row>
    <row r="25" spans="1:5" ht="13.5" thickBot="1">
      <c r="A25" s="8" t="s">
        <v>14</v>
      </c>
      <c r="B25" s="17">
        <v>1</v>
      </c>
      <c r="C25" s="4">
        <v>50</v>
      </c>
      <c r="D25" s="4">
        <f>C25*B25</f>
        <v>50</v>
      </c>
      <c r="E25" s="4" t="s">
        <v>11</v>
      </c>
    </row>
    <row r="27" spans="1:4" ht="12.75">
      <c r="A27" s="11" t="s">
        <v>15</v>
      </c>
      <c r="D27" s="13">
        <f>-SUM(D6:D25)*14</f>
        <v>-9240</v>
      </c>
    </row>
    <row r="29" spans="1:5" ht="12.75">
      <c r="A29" t="s">
        <v>67</v>
      </c>
      <c r="D29">
        <f aca="true" t="shared" si="2" ref="D29:D34">(D20+D13+D6)*14</f>
        <v>1540</v>
      </c>
      <c r="E29" s="3" t="s">
        <v>6</v>
      </c>
    </row>
    <row r="30" spans="4:5" ht="12.75">
      <c r="D30">
        <f t="shared" si="2"/>
        <v>1540</v>
      </c>
      <c r="E30" s="3" t="s">
        <v>7</v>
      </c>
    </row>
    <row r="31" spans="4:5" ht="12.75">
      <c r="D31">
        <f t="shared" si="2"/>
        <v>1540</v>
      </c>
      <c r="E31" s="3" t="s">
        <v>8</v>
      </c>
    </row>
    <row r="32" spans="4:5" ht="12.75">
      <c r="D32">
        <f t="shared" si="2"/>
        <v>1540</v>
      </c>
      <c r="E32" s="3" t="s">
        <v>9</v>
      </c>
    </row>
    <row r="33" spans="4:5" ht="12.75">
      <c r="D33">
        <f t="shared" si="2"/>
        <v>1540</v>
      </c>
      <c r="E33" s="3" t="s">
        <v>10</v>
      </c>
    </row>
    <row r="34" spans="4:5" ht="13.5" thickBot="1">
      <c r="D34">
        <f t="shared" si="2"/>
        <v>1540</v>
      </c>
      <c r="E34" s="4" t="s">
        <v>11</v>
      </c>
    </row>
  </sheetData>
  <mergeCells count="2">
    <mergeCell ref="A1:E1"/>
    <mergeCell ref="A3:E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">
      <selection activeCell="B34" sqref="B34"/>
    </sheetView>
  </sheetViews>
  <sheetFormatPr defaultColWidth="11.421875" defaultRowHeight="12.75"/>
  <cols>
    <col min="1" max="1" width="55.00390625" style="0" customWidth="1"/>
  </cols>
  <sheetData>
    <row r="1" spans="1:6" ht="18">
      <c r="A1" s="23" t="s">
        <v>29</v>
      </c>
      <c r="B1" s="23"/>
      <c r="C1" s="23"/>
      <c r="D1" s="23"/>
      <c r="E1" s="23"/>
      <c r="F1" s="1"/>
    </row>
    <row r="2" spans="1:6" ht="12.75">
      <c r="A2" s="24" t="s">
        <v>20</v>
      </c>
      <c r="B2" s="24"/>
      <c r="C2" s="24"/>
      <c r="D2" s="24"/>
      <c r="E2" s="24"/>
      <c r="F2" s="2"/>
    </row>
    <row r="3" ht="13.5" thickBot="1"/>
    <row r="4" spans="1:6" ht="15">
      <c r="A4" s="5" t="s">
        <v>17</v>
      </c>
      <c r="B4" s="9" t="s">
        <v>3</v>
      </c>
      <c r="C4" s="9" t="s">
        <v>25</v>
      </c>
      <c r="D4" s="9" t="s">
        <v>19</v>
      </c>
      <c r="E4" s="9" t="s">
        <v>27</v>
      </c>
      <c r="F4" s="9" t="s">
        <v>42</v>
      </c>
    </row>
    <row r="5" spans="1:6" ht="12.75">
      <c r="A5" s="6" t="s">
        <v>48</v>
      </c>
      <c r="B5" s="3"/>
      <c r="C5" s="3"/>
      <c r="D5" s="12">
        <v>120</v>
      </c>
      <c r="E5" s="3">
        <f aca="true" t="shared" si="0" ref="E5:E10">D5/2</f>
        <v>60</v>
      </c>
      <c r="F5" s="3">
        <f>-E5</f>
        <v>-60</v>
      </c>
    </row>
    <row r="6" spans="1:6" ht="12.75">
      <c r="A6" s="6" t="s">
        <v>49</v>
      </c>
      <c r="B6" s="3"/>
      <c r="C6" s="3"/>
      <c r="D6" s="12">
        <v>120</v>
      </c>
      <c r="E6" s="3">
        <f t="shared" si="0"/>
        <v>60</v>
      </c>
      <c r="F6" s="3">
        <f>-E6</f>
        <v>-60</v>
      </c>
    </row>
    <row r="7" spans="1:6" ht="12.75">
      <c r="A7" s="6" t="s">
        <v>50</v>
      </c>
      <c r="B7" s="3"/>
      <c r="C7" s="3"/>
      <c r="D7" s="12">
        <v>50</v>
      </c>
      <c r="E7" s="3">
        <f t="shared" si="0"/>
        <v>25</v>
      </c>
      <c r="F7" s="3">
        <f>-E7</f>
        <v>-25</v>
      </c>
    </row>
    <row r="8" spans="1:6" ht="12.75">
      <c r="A8" s="6" t="s">
        <v>51</v>
      </c>
      <c r="B8" s="3"/>
      <c r="C8" s="3"/>
      <c r="D8" s="12">
        <v>130</v>
      </c>
      <c r="E8" s="3">
        <f t="shared" si="0"/>
        <v>65</v>
      </c>
      <c r="F8" s="3">
        <f>-E8</f>
        <v>-65</v>
      </c>
    </row>
    <row r="9" spans="1:6" ht="12.75">
      <c r="A9" s="6" t="s">
        <v>52</v>
      </c>
      <c r="B9" s="3"/>
      <c r="C9" s="3"/>
      <c r="D9" s="12">
        <v>80</v>
      </c>
      <c r="E9" s="3">
        <f t="shared" si="0"/>
        <v>40</v>
      </c>
      <c r="F9" s="3">
        <f aca="true" t="shared" si="1" ref="F9:F17">-E9</f>
        <v>-40</v>
      </c>
    </row>
    <row r="10" spans="1:6" ht="12.75">
      <c r="A10" s="6" t="s">
        <v>53</v>
      </c>
      <c r="B10" s="3"/>
      <c r="C10" s="3"/>
      <c r="D10" s="12">
        <v>110</v>
      </c>
      <c r="E10" s="3">
        <f t="shared" si="0"/>
        <v>55</v>
      </c>
      <c r="F10" s="3">
        <f t="shared" si="1"/>
        <v>-55</v>
      </c>
    </row>
    <row r="11" spans="1:6" ht="12.75">
      <c r="A11" s="6" t="s">
        <v>21</v>
      </c>
      <c r="B11" s="3"/>
      <c r="C11" s="3"/>
      <c r="D11" s="12">
        <v>0</v>
      </c>
      <c r="E11" s="3">
        <f>D11*2</f>
        <v>0</v>
      </c>
      <c r="F11" s="3">
        <f t="shared" si="1"/>
        <v>0</v>
      </c>
    </row>
    <row r="12" spans="1:6" ht="12.75">
      <c r="A12" s="6" t="s">
        <v>47</v>
      </c>
      <c r="B12" s="3"/>
      <c r="C12" s="3"/>
      <c r="D12" s="3"/>
      <c r="E12" s="12">
        <v>0</v>
      </c>
      <c r="F12" s="3">
        <f t="shared" si="1"/>
        <v>0</v>
      </c>
    </row>
    <row r="13" spans="1:6" ht="12.75">
      <c r="A13" s="6"/>
      <c r="B13" s="3"/>
      <c r="C13" s="3"/>
      <c r="D13" s="3"/>
      <c r="E13" s="3"/>
      <c r="F13" s="3"/>
    </row>
    <row r="14" spans="1:6" ht="12.75">
      <c r="A14" s="6" t="s">
        <v>18</v>
      </c>
      <c r="B14" s="3"/>
      <c r="C14" s="3"/>
      <c r="D14" s="12">
        <f>16*17.5+10*6</f>
        <v>340</v>
      </c>
      <c r="E14" s="3">
        <f>D14/2</f>
        <v>170</v>
      </c>
      <c r="F14" s="3">
        <f t="shared" si="1"/>
        <v>-170</v>
      </c>
    </row>
    <row r="15" spans="1:6" ht="12.75">
      <c r="A15" s="6" t="s">
        <v>22</v>
      </c>
      <c r="B15" s="3"/>
      <c r="C15" s="3"/>
      <c r="D15" s="12">
        <v>0</v>
      </c>
      <c r="E15" s="3">
        <f>D15/2</f>
        <v>0</v>
      </c>
      <c r="F15" s="3">
        <f t="shared" si="1"/>
        <v>0</v>
      </c>
    </row>
    <row r="16" spans="1:6" ht="12.75">
      <c r="A16" s="6" t="s">
        <v>23</v>
      </c>
      <c r="B16" s="12">
        <v>20</v>
      </c>
      <c r="C16" s="3">
        <f>6</f>
        <v>6</v>
      </c>
      <c r="D16" s="3"/>
      <c r="E16" s="3">
        <f>C16*B16*14</f>
        <v>1680</v>
      </c>
      <c r="F16" s="3">
        <f t="shared" si="1"/>
        <v>-1680</v>
      </c>
    </row>
    <row r="17" spans="1:6" ht="12.75">
      <c r="A17" s="6" t="s">
        <v>24</v>
      </c>
      <c r="B17" s="3"/>
      <c r="C17" s="3"/>
      <c r="D17" s="12">
        <v>0</v>
      </c>
      <c r="E17" s="3">
        <f>D17/2</f>
        <v>0</v>
      </c>
      <c r="F17" s="3">
        <f t="shared" si="1"/>
        <v>0</v>
      </c>
    </row>
    <row r="18" spans="1:6" ht="12.75">
      <c r="A18" s="6"/>
      <c r="B18" s="3"/>
      <c r="C18" s="3"/>
      <c r="D18" s="3"/>
      <c r="E18" s="3"/>
      <c r="F18" s="3"/>
    </row>
    <row r="19" spans="1:7" ht="12.75">
      <c r="A19" s="6" t="s">
        <v>73</v>
      </c>
      <c r="B19" s="3">
        <v>18</v>
      </c>
      <c r="C19" s="12">
        <v>5</v>
      </c>
      <c r="D19" s="3"/>
      <c r="E19" s="3">
        <f>B19*C19*14</f>
        <v>1260</v>
      </c>
      <c r="F19" s="3">
        <f>-E19</f>
        <v>-1260</v>
      </c>
      <c r="G19" t="s">
        <v>74</v>
      </c>
    </row>
    <row r="20" spans="1:6" ht="12.75">
      <c r="A20" s="6"/>
      <c r="B20" s="3"/>
      <c r="C20" s="3"/>
      <c r="D20" s="3"/>
      <c r="E20" s="3"/>
      <c r="F20" s="3"/>
    </row>
    <row r="21" spans="1:6" ht="12.75">
      <c r="A21" s="6" t="s">
        <v>14</v>
      </c>
      <c r="B21" s="3">
        <v>50</v>
      </c>
      <c r="C21" s="3">
        <f>6</f>
        <v>6</v>
      </c>
      <c r="D21" s="3"/>
      <c r="E21" s="3">
        <f>C21*B21*14</f>
        <v>4200</v>
      </c>
      <c r="F21" s="3">
        <f>-E21</f>
        <v>-4200</v>
      </c>
    </row>
    <row r="22" spans="1:6" ht="12.75">
      <c r="A22" s="6" t="s">
        <v>26</v>
      </c>
      <c r="B22" s="12">
        <v>17.5</v>
      </c>
      <c r="C22" s="3">
        <f>20</f>
        <v>20</v>
      </c>
      <c r="D22" s="3"/>
      <c r="E22" s="3">
        <f>C22*B22*14</f>
        <v>4900</v>
      </c>
      <c r="F22" s="3">
        <f>-E22</f>
        <v>-4900</v>
      </c>
    </row>
    <row r="23" spans="1:6" ht="12.75">
      <c r="A23" s="6" t="s">
        <v>28</v>
      </c>
      <c r="B23" s="3"/>
      <c r="C23" s="3"/>
      <c r="D23" s="3"/>
      <c r="E23" s="12">
        <f>719+1653</f>
        <v>2372</v>
      </c>
      <c r="F23" s="3">
        <f>-E23/2*1.5</f>
        <v>-1779</v>
      </c>
    </row>
    <row r="24" spans="1:6" ht="12.75">
      <c r="A24" s="6"/>
      <c r="B24" s="3"/>
      <c r="C24" s="3"/>
      <c r="D24" s="3"/>
      <c r="E24" s="3"/>
      <c r="F24" s="3"/>
    </row>
    <row r="25" spans="1:7" ht="12.75">
      <c r="A25" s="6" t="s">
        <v>64</v>
      </c>
      <c r="B25" s="3">
        <v>450</v>
      </c>
      <c r="C25" s="3">
        <v>1</v>
      </c>
      <c r="D25" s="3"/>
      <c r="E25" s="12">
        <f>B25*14</f>
        <v>6300</v>
      </c>
      <c r="F25" s="3">
        <f>E25</f>
        <v>6300</v>
      </c>
      <c r="G25" t="s">
        <v>37</v>
      </c>
    </row>
    <row r="26" spans="1:7" ht="12.75">
      <c r="A26" s="6" t="s">
        <v>65</v>
      </c>
      <c r="B26" s="3">
        <v>45</v>
      </c>
      <c r="C26" s="12">
        <v>12</v>
      </c>
      <c r="D26" s="3"/>
      <c r="E26" s="3">
        <f>C26*B26</f>
        <v>540</v>
      </c>
      <c r="F26" s="3">
        <f>-E26</f>
        <v>-540</v>
      </c>
      <c r="G26" t="s">
        <v>34</v>
      </c>
    </row>
    <row r="27" spans="1:6" ht="12.75">
      <c r="A27" s="6"/>
      <c r="B27" s="3"/>
      <c r="C27" s="3"/>
      <c r="D27" s="3"/>
      <c r="E27" s="3"/>
      <c r="F27" s="3"/>
    </row>
    <row r="28" spans="1:7" ht="12.75">
      <c r="A28" s="6" t="s">
        <v>30</v>
      </c>
      <c r="B28" s="3">
        <v>3.3</v>
      </c>
      <c r="C28" s="12">
        <f>100+75+75+75+100+125+200+150+50+100+150+125+75</f>
        <v>1400</v>
      </c>
      <c r="D28" s="3"/>
      <c r="E28" s="3">
        <f aca="true" t="shared" si="2" ref="E28:E33">C28*B28</f>
        <v>4620</v>
      </c>
      <c r="F28" s="3">
        <f>-E28</f>
        <v>-4620</v>
      </c>
      <c r="G28" t="s">
        <v>36</v>
      </c>
    </row>
    <row r="29" spans="1:7" ht="12.75">
      <c r="A29" s="6" t="s">
        <v>31</v>
      </c>
      <c r="B29" s="3">
        <v>12</v>
      </c>
      <c r="C29" s="12">
        <f>39+27+9+34+64+9+34+38+23+44+14+14+112+56</f>
        <v>517</v>
      </c>
      <c r="D29" s="3"/>
      <c r="E29" s="3">
        <f t="shared" si="2"/>
        <v>6204</v>
      </c>
      <c r="F29" s="3">
        <f>-E29</f>
        <v>-6204</v>
      </c>
      <c r="G29" t="s">
        <v>35</v>
      </c>
    </row>
    <row r="30" spans="1:6" ht="12.75">
      <c r="A30" s="6" t="s">
        <v>41</v>
      </c>
      <c r="B30" s="3">
        <v>45</v>
      </c>
      <c r="C30" s="12">
        <f>8+3+3+9+3+12+13+1+9+6+10+6+11</f>
        <v>94</v>
      </c>
      <c r="D30" s="3"/>
      <c r="E30" s="3">
        <f t="shared" si="2"/>
        <v>4230</v>
      </c>
      <c r="F30" s="3">
        <f>E30</f>
        <v>4230</v>
      </c>
    </row>
    <row r="31" spans="1:6" ht="12.75">
      <c r="A31" s="6" t="s">
        <v>40</v>
      </c>
      <c r="B31" s="3">
        <v>35</v>
      </c>
      <c r="C31" s="12">
        <f>6+6+12+8+5+14+4+15+4+6+3+3+21</f>
        <v>107</v>
      </c>
      <c r="D31" s="3"/>
      <c r="E31" s="3">
        <f t="shared" si="2"/>
        <v>3745</v>
      </c>
      <c r="F31" s="3">
        <f>E31</f>
        <v>3745</v>
      </c>
    </row>
    <row r="32" spans="1:6" ht="12.75">
      <c r="A32" s="6" t="s">
        <v>39</v>
      </c>
      <c r="B32" s="3">
        <v>25</v>
      </c>
      <c r="C32" s="12">
        <f>18+16+9+15+15+20+11+9+15+9+36+15+12</f>
        <v>200</v>
      </c>
      <c r="D32" s="3"/>
      <c r="E32" s="3">
        <f t="shared" si="2"/>
        <v>5000</v>
      </c>
      <c r="F32" s="3">
        <f>E32</f>
        <v>5000</v>
      </c>
    </row>
    <row r="33" spans="1:6" ht="12.75">
      <c r="A33" s="6" t="s">
        <v>38</v>
      </c>
      <c r="B33" s="3">
        <v>45</v>
      </c>
      <c r="C33" s="12">
        <v>1</v>
      </c>
      <c r="D33" s="3"/>
      <c r="E33" s="3">
        <f t="shared" si="2"/>
        <v>45</v>
      </c>
      <c r="F33" s="3">
        <f>E33</f>
        <v>45</v>
      </c>
    </row>
    <row r="34" spans="1:6" ht="12.75">
      <c r="A34" s="6"/>
      <c r="B34" s="3"/>
      <c r="C34" s="3"/>
      <c r="D34" s="3"/>
      <c r="E34" s="3"/>
      <c r="F34" s="3"/>
    </row>
    <row r="35" spans="1:7" ht="12.75">
      <c r="A35" s="6" t="s">
        <v>32</v>
      </c>
      <c r="B35" s="3">
        <v>1000</v>
      </c>
      <c r="C35" s="12">
        <v>2</v>
      </c>
      <c r="D35" s="3"/>
      <c r="E35" s="3">
        <f>C35*B35/4</f>
        <v>500</v>
      </c>
      <c r="F35" s="3">
        <f>E35</f>
        <v>500</v>
      </c>
      <c r="G35" t="s">
        <v>33</v>
      </c>
    </row>
    <row r="36" spans="1:7" ht="12.75">
      <c r="A36" s="6" t="s">
        <v>43</v>
      </c>
      <c r="B36" s="3"/>
      <c r="C36" s="3"/>
      <c r="D36" s="3"/>
      <c r="E36" s="12">
        <v>0</v>
      </c>
      <c r="F36" s="3">
        <f>-E36</f>
        <v>0</v>
      </c>
      <c r="G36" t="s">
        <v>46</v>
      </c>
    </row>
    <row r="37" spans="1:7" ht="12.75">
      <c r="A37" s="6" t="s">
        <v>44</v>
      </c>
      <c r="B37" s="3"/>
      <c r="C37" s="3"/>
      <c r="D37" s="3"/>
      <c r="E37" s="12">
        <v>1000</v>
      </c>
      <c r="F37" s="3">
        <f>+E37</f>
        <v>1000</v>
      </c>
      <c r="G37" t="s">
        <v>45</v>
      </c>
    </row>
    <row r="38" spans="1:6" ht="13.5" thickBot="1">
      <c r="A38" s="8"/>
      <c r="B38" s="4"/>
      <c r="C38" s="4"/>
      <c r="D38" s="4"/>
      <c r="E38" s="4"/>
      <c r="F38" s="4"/>
    </row>
    <row r="40" spans="1:6" ht="12.75">
      <c r="A40" s="11" t="s">
        <v>15</v>
      </c>
      <c r="F40" s="14">
        <f>SUM(F5:F38)</f>
        <v>-4838</v>
      </c>
    </row>
  </sheetData>
  <mergeCells count="2">
    <mergeCell ref="A1:E1"/>
    <mergeCell ref="A2:E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12.57421875" style="0" customWidth="1"/>
    <col min="2" max="2" width="9.57421875" style="0" customWidth="1"/>
    <col min="3" max="3" width="8.28125" style="0" customWidth="1"/>
    <col min="4" max="4" width="10.421875" style="0" customWidth="1"/>
    <col min="5" max="5" width="8.00390625" style="0" customWidth="1"/>
    <col min="6" max="6" width="8.7109375" style="0" customWidth="1"/>
    <col min="7" max="7" width="9.8515625" style="0" customWidth="1"/>
    <col min="8" max="8" width="9.140625" style="0" customWidth="1"/>
    <col min="9" max="9" width="8.8515625" style="0" customWidth="1"/>
    <col min="10" max="10" width="7.00390625" style="0" customWidth="1"/>
    <col min="11" max="11" width="9.7109375" style="0" customWidth="1"/>
    <col min="13" max="13" width="11.421875" style="11" customWidth="1"/>
    <col min="14" max="14" width="11.421875" style="19" customWidth="1"/>
  </cols>
  <sheetData>
    <row r="1" spans="1:7" ht="18">
      <c r="A1" s="23" t="s">
        <v>29</v>
      </c>
      <c r="B1" s="23"/>
      <c r="C1" s="23"/>
      <c r="D1" s="23"/>
      <c r="E1" s="23"/>
      <c r="F1" s="23"/>
      <c r="G1" s="23"/>
    </row>
    <row r="2" spans="1:7" ht="12.75">
      <c r="A2" s="24" t="s">
        <v>54</v>
      </c>
      <c r="B2" s="24"/>
      <c r="C2" s="24"/>
      <c r="D2" s="24"/>
      <c r="E2" s="24"/>
      <c r="F2" s="24"/>
      <c r="G2" s="24"/>
    </row>
    <row r="5" spans="1:14" s="18" customFormat="1" ht="25.5" customHeight="1">
      <c r="A5" s="18" t="s">
        <v>5</v>
      </c>
      <c r="B5" s="18" t="s">
        <v>60</v>
      </c>
      <c r="C5" s="18" t="s">
        <v>77</v>
      </c>
      <c r="D5" s="18" t="s">
        <v>58</v>
      </c>
      <c r="E5" s="18" t="s">
        <v>75</v>
      </c>
      <c r="F5" s="18" t="s">
        <v>55</v>
      </c>
      <c r="G5" s="18" t="s">
        <v>59</v>
      </c>
      <c r="H5" s="18" t="s">
        <v>76</v>
      </c>
      <c r="I5" s="18" t="s">
        <v>56</v>
      </c>
      <c r="J5" s="18" t="s">
        <v>57</v>
      </c>
      <c r="K5" s="18" t="s">
        <v>78</v>
      </c>
      <c r="L5" s="18" t="s">
        <v>63</v>
      </c>
      <c r="M5" s="21" t="s">
        <v>66</v>
      </c>
      <c r="N5" s="20" t="s">
        <v>72</v>
      </c>
    </row>
    <row r="6" spans="1:14" ht="12.75">
      <c r="A6" t="s">
        <v>6</v>
      </c>
      <c r="B6">
        <f>106+34</f>
        <v>140</v>
      </c>
      <c r="C6">
        <v>116</v>
      </c>
      <c r="D6">
        <v>19</v>
      </c>
      <c r="E6">
        <f>23+0</f>
        <v>23</v>
      </c>
      <c r="F6">
        <v>56</v>
      </c>
      <c r="G6">
        <v>7</v>
      </c>
      <c r="H6">
        <f>11+0</f>
        <v>11</v>
      </c>
      <c r="I6">
        <v>30</v>
      </c>
      <c r="J6">
        <v>6</v>
      </c>
      <c r="K6" s="15">
        <f aca="true" t="shared" si="0" ref="K6:K11">C6+D6+F6+G6+((E6+H6)*75/100)</f>
        <v>223.5</v>
      </c>
      <c r="L6" s="15">
        <f>impot/K12*K6</f>
        <v>2541.319796954315</v>
      </c>
      <c r="M6" s="14">
        <f>L6-'frais fixes des mairies'!D29</f>
        <v>1001.3197969543148</v>
      </c>
      <c r="N6" s="19">
        <f>2675/2</f>
        <v>1337.5</v>
      </c>
    </row>
    <row r="7" spans="1:14" ht="12.75">
      <c r="A7" t="s">
        <v>7</v>
      </c>
      <c r="B7">
        <f>95+20</f>
        <v>115</v>
      </c>
      <c r="C7">
        <v>109</v>
      </c>
      <c r="D7">
        <v>16</v>
      </c>
      <c r="E7">
        <f>32+0</f>
        <v>32</v>
      </c>
      <c r="F7">
        <v>40</v>
      </c>
      <c r="G7">
        <v>8</v>
      </c>
      <c r="H7">
        <f>16+0</f>
        <v>16</v>
      </c>
      <c r="I7">
        <v>30</v>
      </c>
      <c r="J7">
        <v>3</v>
      </c>
      <c r="K7" s="15">
        <f t="shared" si="0"/>
        <v>209</v>
      </c>
      <c r="L7" s="15">
        <f>impot/K12*K7</f>
        <v>2376.4467005076144</v>
      </c>
      <c r="M7" s="14">
        <f>L7-'frais fixes des mairies'!D30</f>
        <v>836.4467005076144</v>
      </c>
      <c r="N7" s="19">
        <f>2467/2</f>
        <v>1233.5</v>
      </c>
    </row>
    <row r="8" spans="1:14" ht="12.75">
      <c r="A8" t="s">
        <v>8</v>
      </c>
      <c r="B8">
        <f>103+32</f>
        <v>135</v>
      </c>
      <c r="C8">
        <v>96</v>
      </c>
      <c r="D8">
        <v>31</v>
      </c>
      <c r="E8">
        <f>42+4</f>
        <v>46</v>
      </c>
      <c r="F8">
        <v>39</v>
      </c>
      <c r="G8">
        <v>14</v>
      </c>
      <c r="H8">
        <f>19+1</f>
        <v>20</v>
      </c>
      <c r="I8">
        <f>39+6</f>
        <v>45</v>
      </c>
      <c r="J8">
        <v>3</v>
      </c>
      <c r="K8" s="15">
        <f t="shared" si="0"/>
        <v>229.5</v>
      </c>
      <c r="L8" s="15">
        <f>impot/K12*K8</f>
        <v>2609.543147208122</v>
      </c>
      <c r="M8" s="14">
        <f>L8-'frais fixes des mairies'!D31</f>
        <v>1069.5431472081218</v>
      </c>
      <c r="N8" s="19">
        <f>2821/2</f>
        <v>1410.5</v>
      </c>
    </row>
    <row r="9" spans="1:14" ht="12.75">
      <c r="A9" t="s">
        <v>9</v>
      </c>
      <c r="B9">
        <f>93+23</f>
        <v>116</v>
      </c>
      <c r="C9">
        <v>86</v>
      </c>
      <c r="D9">
        <v>11</v>
      </c>
      <c r="E9">
        <f>16+4</f>
        <v>20</v>
      </c>
      <c r="F9">
        <v>27</v>
      </c>
      <c r="G9">
        <v>4</v>
      </c>
      <c r="H9">
        <f>12+1</f>
        <v>13</v>
      </c>
      <c r="I9">
        <f>6+19</f>
        <v>25</v>
      </c>
      <c r="J9">
        <f>3+6</f>
        <v>9</v>
      </c>
      <c r="K9" s="15">
        <f t="shared" si="0"/>
        <v>152.75</v>
      </c>
      <c r="L9" s="15">
        <f>impot/K12*K9</f>
        <v>1736.8527918781726</v>
      </c>
      <c r="M9" s="14">
        <f>L9-'frais fixes des mairies'!D32</f>
        <v>196.85279187817264</v>
      </c>
      <c r="N9" s="19">
        <f>1791/2</f>
        <v>895.5</v>
      </c>
    </row>
    <row r="10" spans="1:14" ht="12.75">
      <c r="A10" t="s">
        <v>10</v>
      </c>
      <c r="B10">
        <f>115+16</f>
        <v>131</v>
      </c>
      <c r="C10">
        <v>102</v>
      </c>
      <c r="D10">
        <v>11</v>
      </c>
      <c r="E10">
        <f>25+5</f>
        <v>30</v>
      </c>
      <c r="F10">
        <v>48</v>
      </c>
      <c r="G10">
        <v>4</v>
      </c>
      <c r="H10">
        <f>12+2</f>
        <v>14</v>
      </c>
      <c r="I10">
        <f>17</f>
        <v>17</v>
      </c>
      <c r="J10">
        <f>5</f>
        <v>5</v>
      </c>
      <c r="K10" s="15">
        <f t="shared" si="0"/>
        <v>198</v>
      </c>
      <c r="L10" s="15">
        <f>impot/K12*K10</f>
        <v>2251.3705583756346</v>
      </c>
      <c r="M10" s="14">
        <f>L10-'frais fixes des mairies'!D33</f>
        <v>711.3705583756346</v>
      </c>
      <c r="N10" s="19">
        <f>2328/2</f>
        <v>1164</v>
      </c>
    </row>
    <row r="11" spans="1:14" ht="12.75">
      <c r="A11" t="s">
        <v>11</v>
      </c>
      <c r="B11">
        <f>101+22</f>
        <v>123</v>
      </c>
      <c r="C11">
        <f>52*2+19</f>
        <v>123</v>
      </c>
      <c r="D11">
        <v>12</v>
      </c>
      <c r="E11">
        <f>27+1</f>
        <v>28</v>
      </c>
      <c r="F11">
        <v>54</v>
      </c>
      <c r="G11">
        <v>4</v>
      </c>
      <c r="H11">
        <f>5+1</f>
        <v>6</v>
      </c>
      <c r="I11">
        <f>21+4</f>
        <v>25</v>
      </c>
      <c r="J11">
        <v>0</v>
      </c>
      <c r="K11" s="15">
        <f t="shared" si="0"/>
        <v>218.5</v>
      </c>
      <c r="L11" s="15">
        <f>impot/K12*K11</f>
        <v>2484.4670050761424</v>
      </c>
      <c r="M11" s="14">
        <f>L11-'frais fixes des mairies'!D34</f>
        <v>944.4670050761424</v>
      </c>
      <c r="N11" s="19">
        <f>2626/2</f>
        <v>1313</v>
      </c>
    </row>
    <row r="12" spans="9:13" ht="12.75">
      <c r="I12" s="15"/>
      <c r="J12" s="15"/>
      <c r="K12" s="15">
        <f>SUM(K6:K11)</f>
        <v>1231.25</v>
      </c>
      <c r="L12" s="15">
        <f>SUM(L6:L11)</f>
        <v>14000</v>
      </c>
      <c r="M12" s="14">
        <f>SUM(M6:M11)</f>
        <v>4760.000000000001</v>
      </c>
    </row>
    <row r="14" spans="1:4" ht="12.75">
      <c r="A14" t="s">
        <v>61</v>
      </c>
      <c r="D14" s="15">
        <f>'frais fixes des mairies'!D27+'dépenses et recettes comtales'!F40</f>
        <v>-14078</v>
      </c>
    </row>
    <row r="16" spans="1:4" ht="12.75">
      <c r="A16" t="s">
        <v>62</v>
      </c>
      <c r="D16" s="16">
        <v>14000</v>
      </c>
    </row>
    <row r="19" ht="12.75">
      <c r="A19" s="22" t="s">
        <v>79</v>
      </c>
    </row>
    <row r="20" ht="12.75">
      <c r="A20" s="22" t="s">
        <v>80</v>
      </c>
    </row>
    <row r="21" ht="12.75">
      <c r="A21" s="22" t="s">
        <v>91</v>
      </c>
    </row>
    <row r="22" ht="13.5" thickBot="1">
      <c r="A22" s="22"/>
    </row>
    <row r="23" spans="1:15" ht="13.5" thickTop="1">
      <c r="A23" s="22"/>
      <c r="B23" s="25" t="s">
        <v>88</v>
      </c>
      <c r="C23" s="26"/>
      <c r="D23" s="26"/>
      <c r="E23" s="26"/>
      <c r="F23" s="26"/>
      <c r="G23" s="26"/>
      <c r="H23" s="27"/>
      <c r="I23" s="25" t="s">
        <v>89</v>
      </c>
      <c r="J23" s="26"/>
      <c r="K23" s="26"/>
      <c r="L23" s="26"/>
      <c r="M23" s="26"/>
      <c r="N23" s="26"/>
      <c r="O23" s="27"/>
    </row>
    <row r="24" spans="2:15" s="18" customFormat="1" ht="25.5" customHeight="1">
      <c r="B24" s="28" t="s">
        <v>82</v>
      </c>
      <c r="C24" s="29" t="s">
        <v>68</v>
      </c>
      <c r="D24" s="29" t="s">
        <v>69</v>
      </c>
      <c r="E24" s="29" t="s">
        <v>77</v>
      </c>
      <c r="F24" s="29" t="s">
        <v>81</v>
      </c>
      <c r="G24" s="29" t="s">
        <v>70</v>
      </c>
      <c r="H24" s="30" t="s">
        <v>71</v>
      </c>
      <c r="I24" s="28" t="s">
        <v>84</v>
      </c>
      <c r="J24" s="29" t="s">
        <v>85</v>
      </c>
      <c r="K24" s="29" t="s">
        <v>83</v>
      </c>
      <c r="L24" s="29" t="s">
        <v>90</v>
      </c>
      <c r="M24" s="29" t="s">
        <v>86</v>
      </c>
      <c r="N24" s="29" t="s">
        <v>87</v>
      </c>
      <c r="O24" s="30" t="s">
        <v>70</v>
      </c>
    </row>
    <row r="25" spans="1:15" ht="12.75">
      <c r="A25" s="15" t="s">
        <v>6</v>
      </c>
      <c r="B25" s="31">
        <f aca="true" t="shared" si="1" ref="B25:B30">M6</f>
        <v>1001.3197969543148</v>
      </c>
      <c r="C25" s="32">
        <v>4.5</v>
      </c>
      <c r="D25" s="32">
        <v>6</v>
      </c>
      <c r="E25" s="32">
        <f>C25*C6+C25*D6+75*E6/100</f>
        <v>624.75</v>
      </c>
      <c r="F25" s="32">
        <f>D25*F6+D25*G6+75*H6/100</f>
        <v>386.25</v>
      </c>
      <c r="G25" s="32">
        <f aca="true" t="shared" si="2" ref="G25:G30">F25+E25</f>
        <v>1011</v>
      </c>
      <c r="H25" s="33">
        <f aca="true" t="shared" si="3" ref="H25:H30">G25-B25</f>
        <v>9.680203045685175</v>
      </c>
      <c r="I25" s="37">
        <v>10</v>
      </c>
      <c r="J25" s="38">
        <v>15</v>
      </c>
      <c r="K25" s="38">
        <f>'frais fixes des mairies'!D29</f>
        <v>1540</v>
      </c>
      <c r="L25" s="32">
        <f>K25+B25</f>
        <v>2541.319796954315</v>
      </c>
      <c r="M25" s="39">
        <f>I25*(C6+D6+(E6*75/100))</f>
        <v>1522.5</v>
      </c>
      <c r="N25" s="40">
        <f>J25*(F6+G6+(H6*75/100))</f>
        <v>1068.75</v>
      </c>
      <c r="O25" s="33">
        <f>N25+M25</f>
        <v>2591.25</v>
      </c>
    </row>
    <row r="26" spans="1:15" ht="12.75">
      <c r="A26" s="15" t="s">
        <v>7</v>
      </c>
      <c r="B26" s="31">
        <f t="shared" si="1"/>
        <v>836.4467005076144</v>
      </c>
      <c r="C26" s="32">
        <v>4.5</v>
      </c>
      <c r="D26" s="32">
        <v>6</v>
      </c>
      <c r="E26" s="32">
        <f>C26*C7+C26*D7+75*E7/100</f>
        <v>586.5</v>
      </c>
      <c r="F26" s="32">
        <f>D26*F7+D26*G7+75*H7/100</f>
        <v>300</v>
      </c>
      <c r="G26" s="32">
        <f t="shared" si="2"/>
        <v>886.5</v>
      </c>
      <c r="H26" s="33">
        <f t="shared" si="3"/>
        <v>50.05329949238558</v>
      </c>
      <c r="I26" s="37">
        <v>10</v>
      </c>
      <c r="J26" s="38">
        <v>15</v>
      </c>
      <c r="K26" s="38">
        <f>'frais fixes des mairies'!D30</f>
        <v>1540</v>
      </c>
      <c r="L26" s="32">
        <f>K26+B26</f>
        <v>2376.4467005076144</v>
      </c>
      <c r="M26" s="39">
        <f>I26*(C7+D7+(E7*75/100))</f>
        <v>1490</v>
      </c>
      <c r="N26" s="40">
        <f>J26*(F7+G7+(H7*75/100))</f>
        <v>900</v>
      </c>
      <c r="O26" s="33">
        <f>N26+M26</f>
        <v>2390</v>
      </c>
    </row>
    <row r="27" spans="1:15" ht="12.75">
      <c r="A27" s="15" t="s">
        <v>8</v>
      </c>
      <c r="B27" s="31">
        <f t="shared" si="1"/>
        <v>1069.5431472081218</v>
      </c>
      <c r="C27" s="32">
        <v>5.5</v>
      </c>
      <c r="D27" s="32">
        <v>7</v>
      </c>
      <c r="E27" s="32">
        <f>C27*C8+C27*D8+75*E8/100</f>
        <v>733</v>
      </c>
      <c r="F27" s="32">
        <f>D27*F8+D27*G8+75*H8/100</f>
        <v>386</v>
      </c>
      <c r="G27" s="32">
        <f t="shared" si="2"/>
        <v>1119</v>
      </c>
      <c r="H27" s="33">
        <f t="shared" si="3"/>
        <v>49.45685279187819</v>
      </c>
      <c r="I27" s="37">
        <v>10</v>
      </c>
      <c r="J27" s="38">
        <v>15</v>
      </c>
      <c r="K27" s="38">
        <f>'frais fixes des mairies'!D31</f>
        <v>1540</v>
      </c>
      <c r="L27" s="32">
        <f>K27+B27</f>
        <v>2609.543147208122</v>
      </c>
      <c r="M27" s="39">
        <f>I27*(C8+D8+(E8*75/100))</f>
        <v>1615</v>
      </c>
      <c r="N27" s="40">
        <f>J27*(F8+G8+(H8*75/100))</f>
        <v>1020</v>
      </c>
      <c r="O27" s="33">
        <f>N27+M27</f>
        <v>2635</v>
      </c>
    </row>
    <row r="28" spans="1:15" ht="12.75">
      <c r="A28" s="15" t="s">
        <v>9</v>
      </c>
      <c r="B28" s="31">
        <f t="shared" si="1"/>
        <v>196.85279187817264</v>
      </c>
      <c r="C28" s="32">
        <v>2</v>
      </c>
      <c r="D28" s="32">
        <v>2</v>
      </c>
      <c r="E28" s="32">
        <f>C28*C9+C28*D9+75*E9/100</f>
        <v>209</v>
      </c>
      <c r="F28" s="32">
        <f>D28*F9+D28*G9+75*H9/100</f>
        <v>71.75</v>
      </c>
      <c r="G28" s="32">
        <f t="shared" si="2"/>
        <v>280.75</v>
      </c>
      <c r="H28" s="33">
        <f t="shared" si="3"/>
        <v>83.89720812182736</v>
      </c>
      <c r="I28" s="37">
        <v>10</v>
      </c>
      <c r="J28" s="38">
        <v>15</v>
      </c>
      <c r="K28" s="38">
        <f>'frais fixes des mairies'!D32</f>
        <v>1540</v>
      </c>
      <c r="L28" s="32">
        <f>K28+B28</f>
        <v>1736.8527918781726</v>
      </c>
      <c r="M28" s="39">
        <f>I28*(C9+D9+(E9*75/100))</f>
        <v>1120</v>
      </c>
      <c r="N28" s="40">
        <f>J28*(F9+G9+(H9*75/100))</f>
        <v>611.25</v>
      </c>
      <c r="O28" s="33">
        <f>N28+M28</f>
        <v>1731.25</v>
      </c>
    </row>
    <row r="29" spans="1:15" ht="12.75">
      <c r="A29" s="15" t="s">
        <v>10</v>
      </c>
      <c r="B29" s="31">
        <f t="shared" si="1"/>
        <v>711.3705583756346</v>
      </c>
      <c r="C29" s="32">
        <v>4</v>
      </c>
      <c r="D29" s="32">
        <v>6</v>
      </c>
      <c r="E29" s="32">
        <f>C29*C10+C29*D10+75*E10/100</f>
        <v>474.5</v>
      </c>
      <c r="F29" s="32">
        <f>D29*F10+D29*G10+75*H10/100</f>
        <v>322.5</v>
      </c>
      <c r="G29" s="32">
        <f t="shared" si="2"/>
        <v>797</v>
      </c>
      <c r="H29" s="33">
        <f t="shared" si="3"/>
        <v>85.62944162436543</v>
      </c>
      <c r="I29" s="37">
        <v>10</v>
      </c>
      <c r="J29" s="38">
        <v>15</v>
      </c>
      <c r="K29" s="38">
        <f>'frais fixes des mairies'!D33</f>
        <v>1540</v>
      </c>
      <c r="L29" s="32">
        <f>K29+B29</f>
        <v>2251.3705583756346</v>
      </c>
      <c r="M29" s="39">
        <f>I29*(C10+D10+(E10*75/100))</f>
        <v>1355</v>
      </c>
      <c r="N29" s="40">
        <f>J29*(F10+G10+(H10*75/100))</f>
        <v>937.5</v>
      </c>
      <c r="O29" s="33">
        <f>N29+M29</f>
        <v>2292.5</v>
      </c>
    </row>
    <row r="30" spans="1:15" ht="13.5" thickBot="1">
      <c r="A30" s="15" t="s">
        <v>11</v>
      </c>
      <c r="B30" s="34">
        <f t="shared" si="1"/>
        <v>944.4670050761424</v>
      </c>
      <c r="C30" s="35">
        <v>4</v>
      </c>
      <c r="D30" s="35">
        <v>7</v>
      </c>
      <c r="E30" s="35">
        <f>C30*C11+C30*D11+75*E11/100</f>
        <v>561</v>
      </c>
      <c r="F30" s="35">
        <f>D30*F11+D30*G11+75*H11/100</f>
        <v>410.5</v>
      </c>
      <c r="G30" s="35">
        <f t="shared" si="2"/>
        <v>971.5</v>
      </c>
      <c r="H30" s="36">
        <f t="shared" si="3"/>
        <v>27.032994923857586</v>
      </c>
      <c r="I30" s="41">
        <v>10</v>
      </c>
      <c r="J30" s="42">
        <v>15</v>
      </c>
      <c r="K30" s="42">
        <f>'frais fixes des mairies'!D34</f>
        <v>1540</v>
      </c>
      <c r="L30" s="35">
        <f>K30+B30</f>
        <v>2484.4670050761424</v>
      </c>
      <c r="M30" s="43">
        <f>I30*(C11+D11+(E11*75/100))</f>
        <v>1560</v>
      </c>
      <c r="N30" s="44">
        <f>J30*(F11+G11+(H11*75/100))</f>
        <v>937.5</v>
      </c>
      <c r="O30" s="36">
        <f>N30+M30</f>
        <v>2497.5</v>
      </c>
    </row>
    <row r="31" ht="13.5" thickTop="1"/>
  </sheetData>
  <mergeCells count="4">
    <mergeCell ref="A1:G1"/>
    <mergeCell ref="A2:G2"/>
    <mergeCell ref="B23:H23"/>
    <mergeCell ref="I23:O2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client</cp:lastModifiedBy>
  <dcterms:created xsi:type="dcterms:W3CDTF">2011-05-09T07:09:52Z</dcterms:created>
  <dcterms:modified xsi:type="dcterms:W3CDTF">2011-05-10T16:21:33Z</dcterms:modified>
  <cp:category/>
  <cp:version/>
  <cp:contentType/>
  <cp:contentStatus/>
</cp:coreProperties>
</file>